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4C0CBA08-1BA4-480A-9350-66BD791B5F4C}" xr6:coauthVersionLast="47" xr6:coauthVersionMax="47" xr10:uidLastSave="{00000000-0000-0000-0000-000000000000}"/>
  <bookViews>
    <workbookView xWindow="-120" yWindow="-120" windowWidth="29040" windowHeight="15840" tabRatio="707" activeTab="3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4" i="83" l="1"/>
  <c r="U54" i="84"/>
  <c r="U54" i="85"/>
  <c r="U54" i="86"/>
  <c r="V54" i="86"/>
  <c r="W54" i="86"/>
  <c r="X54" i="86"/>
  <c r="Y54" i="86"/>
  <c r="Z54" i="86"/>
  <c r="AA54" i="86"/>
  <c r="V54" i="85"/>
  <c r="W54" i="85"/>
  <c r="X54" i="85"/>
  <c r="Y54" i="85"/>
  <c r="Z54" i="85"/>
  <c r="AA54" i="85"/>
  <c r="V54" i="84"/>
  <c r="W54" i="84"/>
  <c r="X54" i="84"/>
  <c r="Y54" i="84"/>
  <c r="Z54" i="84"/>
  <c r="AA54" i="84"/>
  <c r="V54" i="83"/>
  <c r="W54" i="83"/>
  <c r="X54" i="83"/>
  <c r="Y54" i="83"/>
  <c r="Z54" i="83"/>
  <c r="AA54" i="83"/>
  <c r="X56" i="86"/>
  <c r="X57" i="86" s="1"/>
  <c r="X58" i="86" s="1"/>
  <c r="AA53" i="86"/>
  <c r="Z53" i="86"/>
  <c r="Y53" i="86"/>
  <c r="X53" i="86"/>
  <c r="W53" i="86"/>
  <c r="V53" i="86"/>
  <c r="U53" i="86"/>
  <c r="V23" i="86"/>
  <c r="W23" i="86" s="1"/>
  <c r="X23" i="86" s="1"/>
  <c r="AE20" i="86"/>
  <c r="AE19" i="86"/>
  <c r="AA18" i="86"/>
  <c r="X18" i="86"/>
  <c r="AA17" i="86"/>
  <c r="AA21" i="86" s="1"/>
  <c r="Z17" i="86"/>
  <c r="Z21" i="86" s="1"/>
  <c r="Y17" i="86"/>
  <c r="Y21" i="86" s="1"/>
  <c r="X17" i="86"/>
  <c r="X21" i="86" s="1"/>
  <c r="W17" i="86"/>
  <c r="W21" i="86" s="1"/>
  <c r="V17" i="86"/>
  <c r="V21" i="86" s="1"/>
  <c r="Y21" i="84"/>
  <c r="V21" i="84"/>
  <c r="AA53" i="85"/>
  <c r="Z53" i="85"/>
  <c r="Y53" i="85"/>
  <c r="X53" i="85"/>
  <c r="W53" i="85"/>
  <c r="V53" i="85"/>
  <c r="U53" i="85"/>
  <c r="V23" i="85"/>
  <c r="W23" i="85" s="1"/>
  <c r="X23" i="85" s="1"/>
  <c r="Y23" i="85" s="1"/>
  <c r="AE20" i="85"/>
  <c r="AE19" i="85"/>
  <c r="AA17" i="85"/>
  <c r="Z17" i="85"/>
  <c r="Y17" i="85"/>
  <c r="Y21" i="85" s="1"/>
  <c r="X17" i="85"/>
  <c r="X21" i="85" s="1"/>
  <c r="W17" i="85"/>
  <c r="W21" i="85" s="1"/>
  <c r="V17" i="85"/>
  <c r="V21" i="85" s="1"/>
  <c r="Y56" i="84"/>
  <c r="Y57" i="84" s="1"/>
  <c r="Y58" i="84" s="1"/>
  <c r="Y29" i="84" s="1"/>
  <c r="U56" i="84"/>
  <c r="U57" i="84" s="1"/>
  <c r="U58" i="84" s="1"/>
  <c r="AA53" i="84"/>
  <c r="Z53" i="84"/>
  <c r="Y53" i="84"/>
  <c r="X53" i="84"/>
  <c r="W53" i="84"/>
  <c r="V53" i="84"/>
  <c r="U53" i="84"/>
  <c r="V23" i="84"/>
  <c r="W23" i="84" s="1"/>
  <c r="X23" i="84" s="1"/>
  <c r="Y23" i="84" s="1"/>
  <c r="AE20" i="84"/>
  <c r="AE19" i="84"/>
  <c r="AA17" i="84"/>
  <c r="Z17" i="84"/>
  <c r="Y17" i="84"/>
  <c r="X17" i="84"/>
  <c r="X21" i="84" s="1"/>
  <c r="W17" i="84"/>
  <c r="V17" i="84"/>
  <c r="V18" i="84" s="1"/>
  <c r="V56" i="84" l="1"/>
  <c r="V57" i="84" s="1"/>
  <c r="V58" i="84" s="1"/>
  <c r="V62" i="84" s="1"/>
  <c r="V30" i="84" s="1"/>
  <c r="Z56" i="84"/>
  <c r="Z57" i="84" s="1"/>
  <c r="Z58" i="84" s="1"/>
  <c r="Z29" i="84" s="1"/>
  <c r="Y56" i="86"/>
  <c r="Y57" i="86" s="1"/>
  <c r="Y58" i="86" s="1"/>
  <c r="Y29" i="86" s="1"/>
  <c r="U56" i="86"/>
  <c r="U57" i="86" s="1"/>
  <c r="U58" i="86" s="1"/>
  <c r="X62" i="86"/>
  <c r="X30" i="86" s="1"/>
  <c r="X29" i="86"/>
  <c r="W18" i="86"/>
  <c r="V56" i="86"/>
  <c r="V57" i="86" s="1"/>
  <c r="V58" i="86" s="1"/>
  <c r="Z56" i="86"/>
  <c r="Z57" i="86" s="1"/>
  <c r="Z58" i="86" s="1"/>
  <c r="W56" i="86"/>
  <c r="W57" i="86" s="1"/>
  <c r="W58" i="86" s="1"/>
  <c r="AA56" i="86"/>
  <c r="AA57" i="86" s="1"/>
  <c r="AA58" i="86" s="1"/>
  <c r="V22" i="86"/>
  <c r="Y23" i="86"/>
  <c r="Z23" i="86" s="1"/>
  <c r="AA23" i="86" s="1"/>
  <c r="Y18" i="86"/>
  <c r="V18" i="86"/>
  <c r="Z18" i="86"/>
  <c r="V56" i="85"/>
  <c r="V57" i="85" s="1"/>
  <c r="V58" i="85" s="1"/>
  <c r="Z56" i="85"/>
  <c r="Z57" i="85" s="1"/>
  <c r="Z58" i="85" s="1"/>
  <c r="Z29" i="85" s="1"/>
  <c r="Y62" i="84"/>
  <c r="Y30" i="84" s="1"/>
  <c r="W21" i="84"/>
  <c r="W56" i="85"/>
  <c r="W57" i="85" s="1"/>
  <c r="W58" i="85" s="1"/>
  <c r="U56" i="85"/>
  <c r="U57" i="85" s="1"/>
  <c r="U58" i="85" s="1"/>
  <c r="Y56" i="85"/>
  <c r="Y57" i="85" s="1"/>
  <c r="Y58" i="85" s="1"/>
  <c r="AA56" i="85"/>
  <c r="AA57" i="85" s="1"/>
  <c r="AA58" i="85" s="1"/>
  <c r="AA29" i="85" s="1"/>
  <c r="Y18" i="85"/>
  <c r="W56" i="84"/>
  <c r="W57" i="84" s="1"/>
  <c r="W58" i="84" s="1"/>
  <c r="AA56" i="84"/>
  <c r="AA57" i="84" s="1"/>
  <c r="AA58" i="84" s="1"/>
  <c r="AA29" i="84" s="1"/>
  <c r="X56" i="84"/>
  <c r="X57" i="84" s="1"/>
  <c r="X58" i="84" s="1"/>
  <c r="X29" i="84" s="1"/>
  <c r="X56" i="85"/>
  <c r="X57" i="85" s="1"/>
  <c r="X58" i="85" s="1"/>
  <c r="X29" i="85" s="1"/>
  <c r="Z23" i="85"/>
  <c r="Z21" i="85" s="1"/>
  <c r="W19" i="85"/>
  <c r="V18" i="85"/>
  <c r="Z18" i="85"/>
  <c r="W18" i="85"/>
  <c r="AA18" i="85"/>
  <c r="X18" i="85"/>
  <c r="V19" i="85"/>
  <c r="Z23" i="84"/>
  <c r="AA23" i="84" s="1"/>
  <c r="AA21" i="84" s="1"/>
  <c r="Y18" i="84"/>
  <c r="Z18" i="84"/>
  <c r="W18" i="84"/>
  <c r="AA18" i="84"/>
  <c r="X18" i="84"/>
  <c r="AE19" i="83"/>
  <c r="V23" i="83"/>
  <c r="W23" i="83" s="1"/>
  <c r="AE20" i="83"/>
  <c r="AA17" i="83"/>
  <c r="Z17" i="83"/>
  <c r="Y17" i="83"/>
  <c r="X17" i="83"/>
  <c r="W17" i="83"/>
  <c r="V17" i="83"/>
  <c r="V53" i="83"/>
  <c r="W53" i="83"/>
  <c r="Z53" i="83"/>
  <c r="AA53" i="83"/>
  <c r="X53" i="83"/>
  <c r="Y53" i="83"/>
  <c r="U53" i="83"/>
  <c r="Y62" i="85" l="1"/>
  <c r="Y30" i="85" s="1"/>
  <c r="Y32" i="85" s="1"/>
  <c r="Y29" i="85"/>
  <c r="W62" i="85"/>
  <c r="W30" i="85" s="1"/>
  <c r="W32" i="85" s="1"/>
  <c r="W29" i="85"/>
  <c r="V62" i="85"/>
  <c r="V30" i="85" s="1"/>
  <c r="V32" i="85" s="1"/>
  <c r="V29" i="85"/>
  <c r="V29" i="84"/>
  <c r="W62" i="84"/>
  <c r="W30" i="84" s="1"/>
  <c r="W32" i="84" s="1"/>
  <c r="W29" i="84"/>
  <c r="V29" i="86"/>
  <c r="V62" i="86"/>
  <c r="V30" i="86" s="1"/>
  <c r="V32" i="86" s="1"/>
  <c r="AA62" i="86"/>
  <c r="AA30" i="86" s="1"/>
  <c r="AA32" i="86" s="1"/>
  <c r="AA29" i="86"/>
  <c r="W62" i="86"/>
  <c r="W30" i="86" s="1"/>
  <c r="W32" i="86" s="1"/>
  <c r="W29" i="86"/>
  <c r="Y62" i="86"/>
  <c r="Y30" i="86" s="1"/>
  <c r="Z29" i="86"/>
  <c r="Z62" i="86"/>
  <c r="Z30" i="86" s="1"/>
  <c r="X22" i="86"/>
  <c r="X20" i="86" s="1"/>
  <c r="X19" i="86"/>
  <c r="AA22" i="86"/>
  <c r="AA19" i="86"/>
  <c r="X32" i="86"/>
  <c r="W19" i="86"/>
  <c r="W22" i="86"/>
  <c r="V19" i="86"/>
  <c r="Z62" i="85"/>
  <c r="Z30" i="85" s="1"/>
  <c r="W18" i="83"/>
  <c r="V21" i="83"/>
  <c r="AA56" i="83"/>
  <c r="AA57" i="83" s="1"/>
  <c r="AA58" i="83" s="1"/>
  <c r="AA29" i="83" s="1"/>
  <c r="Y56" i="83"/>
  <c r="Y57" i="83" s="1"/>
  <c r="Y58" i="83" s="1"/>
  <c r="Y29" i="83" s="1"/>
  <c r="Z56" i="83"/>
  <c r="Z57" i="83" s="1"/>
  <c r="Z58" i="83" s="1"/>
  <c r="Z29" i="83" s="1"/>
  <c r="V18" i="83"/>
  <c r="X62" i="84"/>
  <c r="X30" i="84" s="1"/>
  <c r="X32" i="84" s="1"/>
  <c r="Z21" i="84"/>
  <c r="AA62" i="84"/>
  <c r="AA30" i="84" s="1"/>
  <c r="AA32" i="84" s="1"/>
  <c r="Z62" i="84"/>
  <c r="Z30" i="84" s="1"/>
  <c r="Z32" i="84" s="1"/>
  <c r="X62" i="85"/>
  <c r="X30" i="85" s="1"/>
  <c r="X32" i="85" s="1"/>
  <c r="AA18" i="83"/>
  <c r="Y18" i="83"/>
  <c r="V56" i="83"/>
  <c r="V57" i="83" s="1"/>
  <c r="V58" i="83" s="1"/>
  <c r="Y19" i="85"/>
  <c r="Y32" i="84"/>
  <c r="X19" i="85"/>
  <c r="AA23" i="85"/>
  <c r="AA21" i="85" s="1"/>
  <c r="X19" i="84"/>
  <c r="X22" i="84"/>
  <c r="X20" i="84" s="1"/>
  <c r="V22" i="84"/>
  <c r="V19" i="84"/>
  <c r="V32" i="84"/>
  <c r="W22" i="84"/>
  <c r="W19" i="84"/>
  <c r="Y22" i="84"/>
  <c r="Y20" i="84" s="1"/>
  <c r="Y19" i="84"/>
  <c r="Z22" i="84"/>
  <c r="Z19" i="84"/>
  <c r="AA19" i="84"/>
  <c r="AA22" i="84"/>
  <c r="U56" i="83"/>
  <c r="U57" i="83" s="1"/>
  <c r="U58" i="83" s="1"/>
  <c r="Z18" i="83"/>
  <c r="W56" i="83"/>
  <c r="W57" i="83" s="1"/>
  <c r="W58" i="83" s="1"/>
  <c r="W29" i="83" s="1"/>
  <c r="X56" i="83"/>
  <c r="X57" i="83" s="1"/>
  <c r="X58" i="83" s="1"/>
  <c r="X29" i="83" s="1"/>
  <c r="X23" i="83"/>
  <c r="Y23" i="83" s="1"/>
  <c r="W21" i="83"/>
  <c r="X18" i="83"/>
  <c r="V62" i="83" l="1"/>
  <c r="V30" i="83" s="1"/>
  <c r="V32" i="83" s="1"/>
  <c r="V29" i="83"/>
  <c r="W20" i="86"/>
  <c r="V20" i="86"/>
  <c r="Z22" i="86"/>
  <c r="Z20" i="86" s="1"/>
  <c r="Z19" i="86"/>
  <c r="Y22" i="86"/>
  <c r="Y20" i="86" s="1"/>
  <c r="Y19" i="86"/>
  <c r="Z32" i="86"/>
  <c r="AA20" i="86"/>
  <c r="Y32" i="86"/>
  <c r="AA62" i="85"/>
  <c r="AA30" i="85" s="1"/>
  <c r="AA32" i="85" s="1"/>
  <c r="Y62" i="83"/>
  <c r="Y30" i="83" s="1"/>
  <c r="X62" i="83"/>
  <c r="X30" i="83" s="1"/>
  <c r="W62" i="83"/>
  <c r="W30" i="83" s="1"/>
  <c r="W32" i="83" s="1"/>
  <c r="AA20" i="84"/>
  <c r="Z19" i="85"/>
  <c r="Z32" i="85"/>
  <c r="Z20" i="84"/>
  <c r="W20" i="84"/>
  <c r="V20" i="84"/>
  <c r="X21" i="83"/>
  <c r="Z23" i="83"/>
  <c r="Z62" i="83" s="1"/>
  <c r="Y21" i="83"/>
  <c r="AA22" i="85" l="1"/>
  <c r="AA19" i="85"/>
  <c r="W22" i="85"/>
  <c r="V22" i="85"/>
  <c r="Y22" i="85"/>
  <c r="X22" i="85"/>
  <c r="X20" i="85" s="1"/>
  <c r="Z22" i="85"/>
  <c r="X19" i="83"/>
  <c r="V19" i="83"/>
  <c r="Y32" i="83"/>
  <c r="Y19" i="83"/>
  <c r="W19" i="83"/>
  <c r="AA23" i="83"/>
  <c r="AA62" i="83" s="1"/>
  <c r="Z21" i="83"/>
  <c r="Z30" i="83"/>
  <c r="X32" i="83"/>
  <c r="Z32" i="83" l="1"/>
  <c r="V20" i="85"/>
  <c r="Z20" i="85"/>
  <c r="Y20" i="85"/>
  <c r="W20" i="85"/>
  <c r="AA20" i="85"/>
  <c r="AA30" i="83"/>
  <c r="AA21" i="83"/>
  <c r="Z19" i="83"/>
  <c r="AA19" i="83" l="1"/>
  <c r="AA22" i="83"/>
  <c r="V22" i="83"/>
  <c r="W22" i="83"/>
  <c r="Y22" i="83"/>
  <c r="X22" i="83"/>
  <c r="X20" i="83" s="1"/>
  <c r="Z22" i="83"/>
  <c r="Z20" i="83" s="1"/>
  <c r="AA32" i="83"/>
  <c r="W20" i="83" l="1"/>
  <c r="AA20" i="83"/>
  <c r="V20" i="83"/>
  <c r="Y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8A860D91-25A4-40CC-8249-A56C10084EF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A3DF56FC-C66F-44EE-89CA-83D9C881B4D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897C7B21-3D12-4EA4-ABA5-DD6CE134D12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EEE7F2D2-B59F-434C-A336-1AA17A5CCA1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9450D2EA-5831-4408-8A3C-5039C44FAE84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9B37F1A-6D1D-4135-9EFB-B3262ED4C33D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982F0D4A-B541-40F7-85E5-DFBFA6F6E858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59B50E7E-3778-4305-93E3-4D37DAAF445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E989ACB0-AD5F-49E2-8F28-60F0AEE8E513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B1C26DA9-E388-4333-85F9-C2A6E5AAC8F6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<sst xmlns="http://schemas.openxmlformats.org/spreadsheetml/2006/main" count="503" uniqueCount="141">
  <si>
    <t>Sample</t>
  </si>
  <si>
    <t>Medium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</si>
  <si>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</si>
  <si>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</si>
  <si>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</si>
  <si>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</si>
  <si>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</si>
  <si>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</si>
  <si>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</si>
  <si>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pmol/(s*mL)</t>
  </si>
  <si>
    <t>mV/s</t>
  </si>
  <si>
    <t>Enter the sensitivity values into the yellow boxes.Never leave the first box empty.</t>
  </si>
  <si>
    <t>ce1</t>
  </si>
  <si>
    <t>ce2</t>
  </si>
  <si>
    <t>ce3</t>
  </si>
  <si>
    <t>ce1_anoxia</t>
  </si>
  <si>
    <t>ce2_anoxia</t>
  </si>
  <si>
    <t>ce3_anoxia</t>
  </si>
  <si>
    <t>SUIT-013_AmR_ce_D023</t>
  </si>
  <si>
    <t>Sensitivity of 0 (before sample) comes from the AmR calibration file.</t>
  </si>
  <si>
    <t>FCR</t>
  </si>
  <si>
    <t>Flux per V</t>
  </si>
  <si>
    <t>Flux per V (bc)</t>
  </si>
  <si>
    <t>Reference state:</t>
  </si>
  <si>
    <t>Baseline state:</t>
  </si>
  <si>
    <t>ROUTINE-respiration</t>
  </si>
  <si>
    <t>Residual oxygen consumption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</si>
  <si>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AA boxes) </t>
    </r>
  </si>
  <si>
    <t>Titration volume correction</t>
  </si>
  <si>
    <t>SUIT-013_AmR_ce_D023.DLP</t>
  </si>
  <si>
    <t>Timi</t>
  </si>
  <si>
    <t>Q-0002</t>
  </si>
  <si>
    <t>PQ3A</t>
  </si>
  <si>
    <t>O2 calibration</t>
  </si>
  <si>
    <t>POS #</t>
  </si>
  <si>
    <t>Marks from</t>
  </si>
  <si>
    <t>Median</t>
  </si>
  <si>
    <t>Unit</t>
  </si>
  <si>
    <t>ce1&gt;50</t>
  </si>
  <si>
    <t>ce1_anox</t>
  </si>
  <si>
    <t>ce2&gt;50</t>
  </si>
  <si>
    <t>ce2_anox</t>
  </si>
  <si>
    <t>ce3&gt;50</t>
  </si>
  <si>
    <t>ce3_anox</t>
  </si>
  <si>
    <t>Protocol</t>
  </si>
  <si>
    <t>Temp</t>
  </si>
  <si>
    <t>°C</t>
  </si>
  <si>
    <t>State</t>
  </si>
  <si>
    <t>O2 background flux</t>
  </si>
  <si>
    <t>ce_R &gt;50 µM O2</t>
  </si>
  <si>
    <t>ce_R anoxia</t>
  </si>
  <si>
    <t>Sample type</t>
  </si>
  <si>
    <t>yeast</t>
  </si>
  <si>
    <t>Air saturation</t>
  </si>
  <si>
    <t>µM</t>
  </si>
  <si>
    <t>Concentration</t>
  </si>
  <si>
    <t>Cohort</t>
  </si>
  <si>
    <t>-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</si>
  <si>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</si>
  <si>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</si>
  <si>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</si>
  <si>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</si>
  <si>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</si>
  <si>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</si>
  <si>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</si>
  <si>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</si>
  <si>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</si>
  <si>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</si>
  <si>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</si>
  <si>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</si>
  <si>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</si>
  <si>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</si>
  <si>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</si>
  <si>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MiR05-Kit</t>
  </si>
  <si>
    <t>Q3A: O2 concentration</t>
  </si>
  <si>
    <t>Sample amount</t>
  </si>
  <si>
    <t>mg</t>
  </si>
  <si>
    <t>O2 background a°</t>
  </si>
  <si>
    <t>X</t>
  </si>
  <si>
    <t>Q3A: O2 slope neg.</t>
  </si>
  <si>
    <t>Chamber volume</t>
  </si>
  <si>
    <t>mL</t>
  </si>
  <si>
    <t>O2 background b°</t>
  </si>
  <si>
    <t>Yeast</t>
  </si>
  <si>
    <t>J°1</t>
  </si>
  <si>
    <t>Chemical background slope</t>
  </si>
  <si>
    <t>Q3A: H2O2 raw</t>
  </si>
  <si>
    <t>Q3A: H2O2 slope</t>
  </si>
  <si>
    <t>Unselect known sample correction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</si>
  <si>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</si>
  <si>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</si>
  <si>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</si>
  <si>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</si>
  <si>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</si>
  <si>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</si>
  <si>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</si>
  <si>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Please, check the equation used for MiR05. For details, see:MiPNet24.10</t>
  </si>
  <si>
    <t>O2k-Amp trace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</si>
  <si>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</si>
  <si>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</si>
  <si>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</si>
  <si>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t>Please check the equation used for MiR05. For details, see:MiPNet24.10</t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</si>
  <si>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</si>
  <si>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</si>
  <si>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</si>
  <si>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</si>
  <si>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flow per x at the basline state might be higher that  at the state afterwards, therefore, the baseline-corrected specific 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flux is omitted.</t>
    </r>
  </si>
  <si>
    <r>
      <t>O2k-O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  <family val="2"/>
      </rPr>
      <t>trace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</si>
  <si>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</si>
  <si>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</si>
  <si>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</si>
  <si>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</si>
  <si>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</si>
  <si>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</si>
  <si>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In the demo experiment, dry-freezed yeast was used, therefore, 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flux per x is expressed as pmo</t>
    </r>
    <r>
      <rPr>
        <sz val="10"/>
        <rFont val="Calibri"/>
        <family val="2"/>
      </rPr>
      <t>l·s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·mg</t>
    </r>
    <r>
      <rPr>
        <vertAlign val="superscript"/>
        <sz val="10"/>
        <rFont val="Calibri"/>
        <family val="2"/>
      </rPr>
      <t>-1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</si>
  <si>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</si>
  <si>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In the demo experiment, dry-freezed yeast was used, therefore, H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flux per x is expressed as pmo</t>
    </r>
    <r>
      <rPr>
        <sz val="10"/>
        <rFont val="Calibri"/>
        <family val="2"/>
      </rPr>
      <t>l·s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·mg</t>
    </r>
    <r>
      <rPr>
        <vertAlign val="superscript"/>
        <sz val="10"/>
        <rFont val="Calibri"/>
        <family val="2"/>
      </rPr>
      <t>-1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</si>
  <si>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</si>
  <si>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</si>
  <si>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</si>
  <si>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</si>
  <si>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</si>
  <si>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</si>
  <si>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</si>
  <si>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</si>
  <si>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</si>
  <si>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</si>
  <si>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</si>
  <si>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</si>
  <si>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</si>
  <si>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</si>
  <si>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</si>
  <si>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</si>
  <si>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</si>
  <si>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</si>
  <si>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</si>
  <si>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</si>
  <si>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</si>
  <si>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t>FCR</t>
    </r>
    <r>
      <rPr>
        <b/>
        <sz val="10"/>
        <rFont val="Verdana"/>
        <family val="2"/>
      </rPr>
      <t xml:space="preserve"> 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</si>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</sst>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theme="0" tint="-0.249977111117893"/>
      <name val="Verdana"/>
      <family val="2"/>
    </font>
    <font>
      <sz val="10"/>
      <color theme="0" tint="-0.249977111117893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00FF00"/>
      <name val="Verdana"/>
      <family val="2"/>
    </font>
    <font>
      <vertAlign val="superscript"/>
      <sz val="10"/>
      <name val="Calibri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vertAlign val="subscript"/>
      <sz val="1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14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2" fontId="1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8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horizontal="right" vertical="center"/>
    </xf>
    <xf numFmtId="165" fontId="9" fillId="10" borderId="0" xfId="0" applyNumberFormat="1" applyFont="1" applyFill="1" applyBorder="1" applyAlignment="1">
      <alignment horizontal="right" vertical="center"/>
    </xf>
    <xf numFmtId="0" fontId="9" fillId="1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0" borderId="0" xfId="0" applyNumberFormat="1" applyFont="1" applyFill="1" applyBorder="1" applyAlignment="1">
      <alignment horizontal="right" vertical="center"/>
    </xf>
    <xf numFmtId="166" fontId="9" fillId="10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0" fontId="8" fillId="0" borderId="0" xfId="0" applyFont="1" applyBorder="1" applyAlignment="1">
      <alignment horizontal="right" vertical="top"/>
    </xf>
    <xf numFmtId="0" fontId="6" fillId="7" borderId="0" xfId="0" applyFont="1" applyFill="1" applyBorder="1"/>
    <xf numFmtId="0" fontId="6" fillId="7" borderId="0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7" borderId="0" xfId="0" applyFont="1" applyFill="1" applyBorder="1"/>
    <xf numFmtId="2" fontId="7" fillId="7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1" fontId="7" fillId="7" borderId="0" xfId="0" applyNumberFormat="1" applyFont="1" applyFill="1" applyBorder="1" applyAlignment="1">
      <alignment vertical="top"/>
    </xf>
    <xf numFmtId="21" fontId="7" fillId="0" borderId="0" xfId="0" applyNumberFormat="1" applyFont="1" applyBorder="1" applyAlignment="1">
      <alignment vertical="top"/>
    </xf>
    <xf numFmtId="2" fontId="7" fillId="7" borderId="0" xfId="0" applyNumberFormat="1" applyFont="1" applyFill="1" applyBorder="1" applyAlignment="1">
      <alignment vertical="top"/>
    </xf>
    <xf numFmtId="21" fontId="6" fillId="7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7" borderId="0" xfId="0" applyFont="1" applyFill="1" applyBorder="1" applyAlignment="1">
      <alignment vertical="top"/>
    </xf>
    <xf numFmtId="0" fontId="15" fillId="7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7" fillId="8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8" borderId="0" xfId="0" applyNumberFormat="1" applyFont="1" applyFill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7" fillId="8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vertical="top"/>
    </xf>
    <xf numFmtId="166" fontId="6" fillId="8" borderId="0" xfId="0" applyNumberFormat="1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17" fillId="9" borderId="0" xfId="0" applyNumberFormat="1" applyFont="1" applyFill="1" applyBorder="1" applyAlignment="1">
      <alignment vertical="top"/>
    </xf>
    <xf numFmtId="0" fontId="7" fillId="8" borderId="0" xfId="0" applyFont="1" applyFill="1" applyBorder="1" applyAlignment="1">
      <alignment horizontal="center"/>
    </xf>
    <xf numFmtId="0" fontId="15" fillId="8" borderId="0" xfId="0" applyFont="1" applyFill="1" applyBorder="1"/>
    <xf numFmtId="21" fontId="15" fillId="8" borderId="0" xfId="0" applyNumberFormat="1" applyFont="1" applyFill="1" applyBorder="1" applyAlignment="1">
      <alignment vertical="top"/>
    </xf>
    <xf numFmtId="21" fontId="10" fillId="8" borderId="0" xfId="0" applyNumberFormat="1" applyFont="1" applyFill="1" applyBorder="1" applyAlignment="1">
      <alignment vertical="top"/>
    </xf>
    <xf numFmtId="166" fontId="10" fillId="8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" fontId="15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21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vertical="top"/>
    </xf>
    <xf numFmtId="4" fontId="7" fillId="7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7" borderId="0" xfId="0" applyFont="1" applyFill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21" fontId="10" fillId="12" borderId="0" xfId="0" applyNumberFormat="1" applyFont="1" applyFill="1" applyBorder="1"/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21" fontId="7" fillId="12" borderId="0" xfId="0" applyNumberFormat="1" applyFont="1" applyFill="1" applyBorder="1" applyAlignment="1">
      <alignment vertical="top"/>
    </xf>
    <xf numFmtId="166" fontId="7" fillId="12" borderId="0" xfId="0" applyNumberFormat="1" applyFont="1" applyFill="1" applyBorder="1" applyAlignment="1">
      <alignment vertical="top"/>
    </xf>
    <xf numFmtId="166" fontId="28" fillId="12" borderId="0" xfId="0" applyNumberFormat="1" applyFont="1" applyFill="1" applyBorder="1" applyAlignment="1">
      <alignment vertical="top"/>
    </xf>
    <xf numFmtId="0" fontId="15" fillId="12" borderId="0" xfId="0" applyFont="1" applyFill="1" applyBorder="1"/>
    <xf numFmtId="21" fontId="15" fillId="12" borderId="0" xfId="0" applyNumberFormat="1" applyFont="1" applyFill="1" applyBorder="1" applyAlignment="1">
      <alignment vertical="top"/>
    </xf>
    <xf numFmtId="166" fontId="15" fillId="12" borderId="0" xfId="0" applyNumberFormat="1" applyFont="1" applyFill="1" applyBorder="1" applyAlignment="1">
      <alignment vertical="top"/>
    </xf>
    <xf numFmtId="166" fontId="27" fillId="12" borderId="0" xfId="0" applyNumberFormat="1" applyFont="1" applyFill="1" applyBorder="1" applyAlignment="1">
      <alignment vertical="top"/>
    </xf>
    <xf numFmtId="164" fontId="15" fillId="12" borderId="0" xfId="0" applyNumberFormat="1" applyFont="1" applyFill="1" applyBorder="1" applyAlignment="1">
      <alignment vertical="top"/>
    </xf>
    <xf numFmtId="164" fontId="27" fillId="12" borderId="0" xfId="0" applyNumberFormat="1" applyFont="1" applyFill="1" applyBorder="1" applyAlignment="1">
      <alignment vertical="top"/>
    </xf>
    <xf numFmtId="0" fontId="6" fillId="12" borderId="0" xfId="0" applyFont="1" applyFill="1" applyBorder="1"/>
    <xf numFmtId="0" fontId="6" fillId="13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37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center" vertical="top"/>
    </xf>
    <xf numFmtId="0" fontId="37" fillId="0" borderId="0" xfId="0" applyFont="1" applyBorder="1" applyAlignment="1">
      <alignment vertical="top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top"/>
    </xf>
    <xf numFmtId="166" fontId="7" fillId="9" borderId="0" xfId="0" applyNumberFormat="1" applyFont="1" applyFill="1" applyBorder="1" applyAlignment="1">
      <alignment vertical="top"/>
    </xf>
    <xf numFmtId="0" fontId="44" fillId="0" borderId="0" xfId="0" applyFont="1" applyBorder="1" applyAlignment="1">
      <alignment horizontal="left"/>
    </xf>
    <xf numFmtId="0" fontId="46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1" borderId="0" xfId="0" applyFont="1" applyFill="1" applyAlignment="1">
      <alignment horizontal="center" vertical="center"/>
    </xf>
    <xf numFmtId="0" fontId="17" fillId="12" borderId="0" xfId="0" applyFont="1" applyFill="1" applyBorder="1" applyAlignment="1">
      <alignment vertical="top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3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6" fillId="0" borderId="0" xfId="0" applyFont="1"/>
    <xf numFmtId="0" fontId="18" fillId="10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99"/>
      <color rgb="FF008000"/>
      <color rgb="FF00B05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A06-40BA-84DC-31F79C0C81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06-40BA-84DC-31F79C0C811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MiR05-Kit#19.01689'!$U$37:$AA$37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F-4F4C-B4EF-BF00BAA03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7656736451077"/>
          <c:y val="6.196599735675627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C7-4661-8035-44C109BC200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7-4661-8035-44C109BC200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C7-4661-8035-44C109BC200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7-4661-8035-44C109BC200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D5-428C-8C11-3C101F4DE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D5-428C-8C11-3C101F4DE3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C7-4661-8035-44C109BC200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C7-4661-8035-44C109BC200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EC7-4661-8035-44C109BC20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7-4661-8035-44C109BC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FC-416F-B8BD-4513A4F3CA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16F-B8BD-4513A4F3CA4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FC-416F-B8BD-4513A4F3CA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16F-B8BD-4513A4F3CA4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FC-416F-B8BD-4513A4F3CA4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FC-416F-B8BD-4513A4F3CA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FC-416F-B8BD-4513A4F3CA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FC-416F-B8BD-4513A4F3CA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FC-416F-B8BD-4513A4F3CA4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FC-416F-B8BD-4513A4F3CA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FC-416F-B8BD-4513A4F3CA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FC-416F-B8BD-4513A4F3CA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AFC-416F-B8BD-4513A4F3CA4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FC-416F-B8BD-4513A4F3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9A-406B-B0B0-51DD3812FD9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9A-406B-B0B0-51DD3812FD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9A-406B-B0B0-51DD3812F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9A-406B-B0B0-51DD3812FD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9A-406B-B0B0-51DD3812F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9A-406B-B0B0-51DD3812F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9A-406B-B0B0-51DD3812FD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A9A-406B-B0B0-51DD3812FD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A9A-406B-B0B0-51DD3812FD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A9A-406B-B0B0-51DD3812FD9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A9A-406B-B0B0-51DD3812FD9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9A-406B-B0B0-51DD3812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MiR05-Kit#20J01923'!$U$37:$AA$37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0-4FC0-AB97-B1E967F0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2B-4DE7-958B-2AB02DEA03C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2B-4DE7-958B-2AB02DEA03C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2B-4DE7-958B-2AB02DEA03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2B-4DE7-958B-2AB02DEA03C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2B-4DE7-958B-2AB02DEA03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2B-4DE7-958B-2AB02DEA03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2B-4DE7-958B-2AB02DEA03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F2B-4DE7-958B-2AB02DEA03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F2B-4DE7-958B-2AB02DEA03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2B-4DE7-958B-2AB02DEA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4C-441E-8533-1BE34083342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4C-441E-8533-1BE3408334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4C-441E-8533-1BE34083342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4C-441E-8533-1BE3408334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4C-441E-8533-1BE3408334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4C-441E-8533-1BE3408334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4C-441E-8533-1BE3408334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4C-441E-8533-1BE3408334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4C-441E-8533-1BE3408334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4C-441E-8533-1BE34083342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4C-441E-8533-1BE3408334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4C-441E-8533-1BE3408334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94C-441E-8533-1BE34083342C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4C-441E-8533-1BE34083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7865574125546"/>
          <c:y val="5.817888763625198E-2"/>
          <c:w val="0.72905972878990255"/>
          <c:h val="0.6838601521340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B3-48E5-904C-61F76BA794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81-4808-8C87-63ED79828C4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81-4808-8C87-63ED79828C4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81-4808-8C87-63ED79828C4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F8-4089-B9CC-A4DA7A96630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F8-4089-B9CC-A4DA7A96630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81-4808-8C87-63ED79828C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81-4808-8C87-63ED79828C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81-4808-8C87-63ED79828C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81-4808-8C87-63ED7982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4.0922260339786428E-3"/>
              <c:y val="0.367596050766648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4796675236476"/>
          <c:y val="0.13174811605993925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2F-4C7C-AED4-9CC7A8C58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2F-4C7C-AED4-9CC7A8C58E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F-4C7C-AED4-9CC7A8C58E9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2F-4C7C-AED4-9CC7A8C58E9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0E-4971-B9C6-65A7D5278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0E-4971-B9C6-65A7D527893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2F-4C7C-AED4-9CC7A8C58E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2F-4C7C-AED4-9CC7A8C58E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2F-4C7C-AED4-9CC7A8C58E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2F-4C7C-AED4-9CC7A8C58E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2F-4C7C-AED4-9CC7A8C58E9F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MiR05-Kit#18.02872'!$V$30:$AB$30</c:f>
              <c:numCache>
                <c:formatCode>0.000</c:formatCode>
                <c:ptCount val="7"/>
                <c:pt idx="0">
                  <c:v>0.32527732319859798</c:v>
                </c:pt>
                <c:pt idx="1">
                  <c:v>1.6552228992563627E-2</c:v>
                </c:pt>
                <c:pt idx="2">
                  <c:v>0.28068039060645888</c:v>
                </c:pt>
                <c:pt idx="3">
                  <c:v>-4.7899761015629937E-3</c:v>
                </c:pt>
                <c:pt idx="4">
                  <c:v>0.30905409578881221</c:v>
                </c:pt>
                <c:pt idx="5">
                  <c:v>-1.093617281517759E-2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F-4C7C-AED4-9CC7A8C5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MiR05-Kit#18.02872'!$U$37:$AA$37</c:f>
              <c:numCache>
                <c:formatCode>General</c:formatCode>
                <c:ptCount val="7"/>
                <c:pt idx="0">
                  <c:v>1.9870000000000001</c:v>
                </c:pt>
                <c:pt idx="1">
                  <c:v>1.1135999999999999</c:v>
                </c:pt>
                <c:pt idx="2">
                  <c:v>1.0098</c:v>
                </c:pt>
                <c:pt idx="3">
                  <c:v>1.0098</c:v>
                </c:pt>
                <c:pt idx="4">
                  <c:v>0.97909999999999997</c:v>
                </c:pt>
                <c:pt idx="5">
                  <c:v>0.97909999999999997</c:v>
                </c:pt>
                <c:pt idx="6">
                  <c:v>0.93740000000000001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A-4726-8271-AAC93304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2-4660-9D91-D3D20C00E41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2-4660-9D91-D3D20C00E41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2-4660-9D91-D3D20C00E41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2-4660-9D91-D3D20C00E41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4-4512-90A3-009C7F26AA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84-4512-90A3-009C7F26AA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12-4660-9D91-D3D20C00E41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12-4660-9D91-D3D20C00E4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12-4660-9D91-D3D20C00E4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MiR05-Kit#18.02872'!$V$32:$AA$32</c:f>
              <c:numCache>
                <c:formatCode>0.0000</c:formatCode>
                <c:ptCount val="6"/>
                <c:pt idx="0">
                  <c:v>7.3211814846919335E-4</c:v>
                </c:pt>
                <c:pt idx="1">
                  <c:v>5.82928206821601E-3</c:v>
                </c:pt>
                <c:pt idx="2">
                  <c:v>4.9882550761028664E-4</c:v>
                </c:pt>
                <c:pt idx="3">
                  <c:v>-1.6817710929846435E-3</c:v>
                </c:pt>
                <c:pt idx="4">
                  <c:v>6.2777885203684066E-4</c:v>
                </c:pt>
                <c:pt idx="5">
                  <c:v>-3.9552710478575554E-3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2-4660-9D91-D3D20C00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2B-40D9-BF3B-BCAFAF5CC68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B-40D9-BF3B-BCAFAF5CC68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2B-40D9-BF3B-BCAFAF5CC68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B-40D9-BF3B-BCAFAF5CC6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2B-40D9-BF3B-BCAFAF5CC68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2B-40D9-BF3B-BCAFAF5CC68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2B-40D9-BF3B-BCAFAF5CC68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2B-40D9-BF3B-BCAFAF5CC68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2B-40D9-BF3B-BCAFAF5CC6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2B-40D9-BF3B-BCAFAF5CC68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12B-40D9-BF3B-BCAFAF5CC68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12B-40D9-BF3B-BCAFAF5CC68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12B-40D9-BF3B-BCAFAF5CC68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MiR05-Kit#18.02872'!$V$22:$AA$22</c:f>
              <c:numCache>
                <c:formatCode>0.000</c:formatCode>
                <c:ptCount val="6"/>
                <c:pt idx="0">
                  <c:v>441.53125456730396</c:v>
                </c:pt>
                <c:pt idx="1">
                  <c:v>7.4535344912172619E-2</c:v>
                </c:pt>
                <c:pt idx="2">
                  <c:v>559.91755221038409</c:v>
                </c:pt>
                <c:pt idx="3">
                  <c:v>8.3211980301249433E-2</c:v>
                </c:pt>
                <c:pt idx="4">
                  <c:v>489.53275557597544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2B-40D9-BF3B-BCAFAF5C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2D-495F-948D-48245719F98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2D-495F-948D-48245719F98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2D-495F-948D-48245719F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2D-495F-948D-48245719F98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19-4345-82F4-E8E1525DED8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519-4345-82F4-E8E1525DED8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2D-495F-948D-48245719F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2D-495F-948D-48245719F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2D-495F-948D-48245719F9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2D-495F-948D-48245719F98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2D-495F-948D-48245719F98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2D-495F-948D-48245719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152104417954E-2"/>
              <c:y val="0.343228256908236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3393280</xdr:colOff>
      <xdr:row>1</xdr:row>
      <xdr:rowOff>83345</xdr:rowOff>
    </xdr:from>
    <xdr:to>
      <xdr:col>9</xdr:col>
      <xdr:colOff>65603</xdr:colOff>
      <xdr:row>5</xdr:row>
      <xdr:rowOff>152401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861130" y="254795"/>
          <a:ext cx="3225523" cy="77390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10" name="Rectangle 5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19683808">
          <a:off x="43023593" y="43439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266700</xdr:colOff>
      <xdr:row>30</xdr:row>
      <xdr:rowOff>142875</xdr:rowOff>
    </xdr:from>
    <xdr:to>
      <xdr:col>9</xdr:col>
      <xdr:colOff>790710</xdr:colOff>
      <xdr:row>59</xdr:row>
      <xdr:rowOff>107157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423862</xdr:colOff>
      <xdr:row>6</xdr:row>
      <xdr:rowOff>2381</xdr:rowOff>
    </xdr:from>
    <xdr:to>
      <xdr:col>8</xdr:col>
      <xdr:colOff>393382</xdr:colOff>
      <xdr:row>32</xdr:row>
      <xdr:rowOff>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51605" y="216695"/>
          <a:ext cx="3225523" cy="7929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5617</xdr:rowOff>
    </xdr:from>
    <xdr:to>
      <xdr:col>4</xdr:col>
      <xdr:colOff>884872</xdr:colOff>
      <xdr:row>15</xdr:row>
      <xdr:rowOff>18650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540"/>
          <a:ext cx="6062564" cy="167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168989</xdr:rowOff>
    </xdr:from>
    <xdr:to>
      <xdr:col>4</xdr:col>
      <xdr:colOff>856491</xdr:colOff>
      <xdr:row>38</xdr:row>
      <xdr:rowOff>149977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1509"/>
          <a:ext cx="6038091" cy="175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3183730</xdr:colOff>
      <xdr:row>1</xdr:row>
      <xdr:rowOff>47625</xdr:rowOff>
    </xdr:from>
    <xdr:to>
      <xdr:col>8</xdr:col>
      <xdr:colOff>2656403</xdr:colOff>
      <xdr:row>5</xdr:row>
      <xdr:rowOff>151787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651580" y="219075"/>
          <a:ext cx="3225523" cy="809012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504825</xdr:colOff>
      <xdr:row>30</xdr:row>
      <xdr:rowOff>57150</xdr:rowOff>
    </xdr:from>
    <xdr:to>
      <xdr:col>9</xdr:col>
      <xdr:colOff>790710</xdr:colOff>
      <xdr:row>58</xdr:row>
      <xdr:rowOff>116238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300037</xdr:colOff>
      <xdr:row>5</xdr:row>
      <xdr:rowOff>154781</xdr:rowOff>
    </xdr:from>
    <xdr:to>
      <xdr:col>8</xdr:col>
      <xdr:colOff>269557</xdr:colOff>
      <xdr:row>31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2" name="Rechteck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94430" y="216695"/>
          <a:ext cx="3044548" cy="8691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5" name="Rectangle 5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 rot="19683808">
          <a:off x="39063098" y="4528759"/>
          <a:ext cx="810855" cy="2390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85546875" style="2" customWidth="1"/>
    <col min="15" max="15" width="16.57031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6" t="s">
        <v>12</v>
      </c>
      <c r="W3" s="157" t="s">
        <v>15</v>
      </c>
      <c r="X3" s="156" t="s">
        <v>13</v>
      </c>
      <c r="Y3" s="157" t="s">
        <v>16</v>
      </c>
      <c r="Z3" s="156" t="s">
        <v>14</v>
      </c>
      <c r="AA3" s="157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137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IF(ISNUMBER(V17),IF(VolumeCorr=TRUE,IF(UnknownSampleCheck=FALSE,V17/V23,V17/V23/$M$12),IF(UnknownSampleCheck=FALSE,V17,V17/$M$12)),"")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0.1159</v>
      </c>
      <c r="V53" s="110">
        <f t="shared" ref="V53:W53" si="11">$W$66*V49+$X$66</f>
        <v>0.1159</v>
      </c>
      <c r="W53" s="110">
        <f t="shared" si="11"/>
        <v>0.1159</v>
      </c>
      <c r="X53" s="110">
        <f t="shared" ref="X53:AA53" si="12">$W$66*X49+$X$66</f>
        <v>0.1159</v>
      </c>
      <c r="Y53" s="110">
        <f t="shared" si="12"/>
        <v>0.1159</v>
      </c>
      <c r="Z53" s="110">
        <f t="shared" si="12"/>
        <v>0.1159</v>
      </c>
      <c r="AA53" s="110">
        <f t="shared" si="12"/>
        <v>0.1159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>(($W67*U12+$X67)/($W67*$U12+$X67))</f>
        <v>1</v>
      </c>
      <c r="V54" s="111">
        <f t="shared" ref="V54:AA54" si="13">(($W67*V12+$X67)/($W67*$U12+$X67))</f>
        <v>1</v>
      </c>
      <c r="W54" s="111">
        <f t="shared" si="13"/>
        <v>1</v>
      </c>
      <c r="X54" s="111">
        <f t="shared" si="13"/>
        <v>1</v>
      </c>
      <c r="Y54" s="111">
        <f t="shared" si="13"/>
        <v>1</v>
      </c>
      <c r="Z54" s="111">
        <f t="shared" si="13"/>
        <v>1</v>
      </c>
      <c r="AA54" s="111">
        <f t="shared" si="13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0.1159</v>
      </c>
      <c r="V56" s="111">
        <f t="shared" ref="V56:W56" si="14">V54*V53</f>
        <v>0.1159</v>
      </c>
      <c r="W56" s="111">
        <f t="shared" si="14"/>
        <v>0.1159</v>
      </c>
      <c r="X56" s="111">
        <f t="shared" ref="X56:AA56" si="15">X54*X53</f>
        <v>0.1159</v>
      </c>
      <c r="Y56" s="111">
        <f t="shared" si="15"/>
        <v>0.1159</v>
      </c>
      <c r="Z56" s="111">
        <f t="shared" si="15"/>
        <v>0.1159</v>
      </c>
      <c r="AA56" s="111">
        <f t="shared" si="15"/>
        <v>0.1159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-0.1159</v>
      </c>
      <c r="V57" s="111">
        <f t="shared" ref="V57:W57" si="16">V50-V56</f>
        <v>-0.1159</v>
      </c>
      <c r="W57" s="111">
        <f t="shared" si="16"/>
        <v>-0.1159</v>
      </c>
      <c r="X57" s="111">
        <f t="shared" ref="X57:AA57" si="17">X50-X56</f>
        <v>-0.1159</v>
      </c>
      <c r="Y57" s="111">
        <f t="shared" si="17"/>
        <v>-0.1159</v>
      </c>
      <c r="Z57" s="111">
        <f t="shared" si="17"/>
        <v>-0.1159</v>
      </c>
      <c r="AA57" s="111">
        <f t="shared" si="17"/>
        <v>-0.1159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8">U57/U37</f>
        <v>#DIV/0!</v>
      </c>
      <c r="V58" s="97" t="e">
        <f t="shared" si="18"/>
        <v>#DIV/0!</v>
      </c>
      <c r="W58" s="97" t="e">
        <f t="shared" si="18"/>
        <v>#DIV/0!</v>
      </c>
      <c r="X58" s="97" t="e">
        <f t="shared" si="18"/>
        <v>#DIV/0!</v>
      </c>
      <c r="Y58" s="97" t="e">
        <f t="shared" si="18"/>
        <v>#DIV/0!</v>
      </c>
      <c r="Z58" s="97" t="e">
        <f t="shared" si="18"/>
        <v>#DIV/0!</v>
      </c>
      <c r="AA58" s="97" t="e">
        <f t="shared" si="18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9">IF(ISNUMBER(V58),IF(VolumeCorr=TRUE,IF(UnknownSampleCheck=FALSE,V58/V23,V58/V23/$M$12),IF(UnknownSampleCheck=FALSE,V58,V58/$M$12)),"")</f>
        <v/>
      </c>
      <c r="W62" s="116" t="str">
        <f t="shared" si="19"/>
        <v/>
      </c>
      <c r="X62" s="116" t="str">
        <f t="shared" si="19"/>
        <v/>
      </c>
      <c r="Y62" s="116" t="str">
        <f t="shared" si="19"/>
        <v/>
      </c>
      <c r="Z62" s="116" t="str">
        <f t="shared" si="19"/>
        <v/>
      </c>
      <c r="AA62" s="116" t="str">
        <f t="shared" si="19"/>
        <v/>
      </c>
      <c r="AB62" s="115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F63" s="6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F64" s="123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129</v>
      </c>
      <c r="N66" s="213" t="s">
        <v>130</v>
      </c>
      <c r="O66" s="213"/>
      <c r="U66" s="175"/>
      <c r="V66" s="175"/>
      <c r="W66" s="207">
        <v>8.2000000000000007E-3</v>
      </c>
      <c r="X66" s="207">
        <v>0.1159</v>
      </c>
      <c r="Y66" s="154" t="s">
        <v>101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Check Box 29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88EF-0E8C-440A-A9C1-417394745B0A}">
  <dimension ref="A1:BH129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 t="s">
        <v>83</v>
      </c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8" t="s">
        <v>12</v>
      </c>
      <c r="W3" s="159" t="s">
        <v>15</v>
      </c>
      <c r="X3" s="158" t="s">
        <v>13</v>
      </c>
      <c r="Y3" s="159" t="s">
        <v>16</v>
      </c>
      <c r="Z3" s="158" t="s">
        <v>14</v>
      </c>
      <c r="AA3" s="159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 t="s">
        <v>29</v>
      </c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 t="s">
        <v>30</v>
      </c>
      <c r="M5" s="48" t="s">
        <v>31</v>
      </c>
      <c r="N5" s="49" t="s">
        <v>32</v>
      </c>
      <c r="O5" s="50" t="s">
        <v>33</v>
      </c>
      <c r="P5" s="50" t="s">
        <v>34</v>
      </c>
      <c r="Q5" s="50"/>
      <c r="R5" s="50" t="s">
        <v>35</v>
      </c>
      <c r="S5" s="50" t="s">
        <v>36</v>
      </c>
      <c r="T5" s="50" t="s">
        <v>37</v>
      </c>
      <c r="U5" s="50" t="s">
        <v>8</v>
      </c>
      <c r="V5" s="50" t="s">
        <v>38</v>
      </c>
      <c r="W5" s="50" t="s">
        <v>39</v>
      </c>
      <c r="X5" s="50" t="s">
        <v>40</v>
      </c>
      <c r="Y5" s="50" t="s">
        <v>41</v>
      </c>
      <c r="Z5" s="50" t="s">
        <v>42</v>
      </c>
      <c r="AA5" s="50" t="s">
        <v>43</v>
      </c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 t="s">
        <v>44</v>
      </c>
      <c r="M6" s="53" t="s">
        <v>18</v>
      </c>
      <c r="N6" s="50"/>
      <c r="O6" s="50" t="s">
        <v>45</v>
      </c>
      <c r="P6" s="50">
        <v>37</v>
      </c>
      <c r="Q6" s="50" t="s">
        <v>46</v>
      </c>
      <c r="R6" s="50"/>
      <c r="S6" s="50" t="s">
        <v>47</v>
      </c>
      <c r="T6" s="50"/>
      <c r="U6" s="54" t="s">
        <v>48</v>
      </c>
      <c r="V6" s="54" t="s">
        <v>49</v>
      </c>
      <c r="W6" s="54" t="s">
        <v>50</v>
      </c>
      <c r="X6" s="54" t="s">
        <v>49</v>
      </c>
      <c r="Y6" s="54" t="s">
        <v>50</v>
      </c>
      <c r="Z6" s="54" t="s">
        <v>49</v>
      </c>
      <c r="AA6" s="54" t="s">
        <v>50</v>
      </c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 t="s">
        <v>51</v>
      </c>
      <c r="M7" s="53" t="s">
        <v>52</v>
      </c>
      <c r="N7" s="50"/>
      <c r="O7" s="50" t="s">
        <v>53</v>
      </c>
      <c r="P7" s="50">
        <v>181.58</v>
      </c>
      <c r="Q7" s="50" t="s">
        <v>54</v>
      </c>
      <c r="R7" s="50"/>
      <c r="S7" s="50" t="s">
        <v>55</v>
      </c>
      <c r="T7" s="50"/>
      <c r="U7" s="60">
        <v>0</v>
      </c>
      <c r="V7" s="60">
        <v>0.1</v>
      </c>
      <c r="W7" s="60">
        <v>0.1</v>
      </c>
      <c r="X7" s="60">
        <v>0</v>
      </c>
      <c r="Y7" s="60">
        <v>0.1</v>
      </c>
      <c r="Z7" s="60">
        <v>0</v>
      </c>
      <c r="AA7" s="60">
        <v>0.1</v>
      </c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 t="s">
        <v>56</v>
      </c>
      <c r="M8" s="53" t="s">
        <v>57</v>
      </c>
      <c r="N8" s="60"/>
      <c r="O8" s="50" t="s">
        <v>58</v>
      </c>
      <c r="P8" s="50">
        <v>2.0347</v>
      </c>
      <c r="Q8" s="50" t="s">
        <v>59</v>
      </c>
      <c r="R8" s="50"/>
      <c r="S8" s="50" t="s">
        <v>60</v>
      </c>
      <c r="T8" s="50"/>
      <c r="U8" s="62">
        <v>0</v>
      </c>
      <c r="V8" s="62">
        <v>5</v>
      </c>
      <c r="W8" s="62">
        <v>5</v>
      </c>
      <c r="X8" s="62">
        <v>0</v>
      </c>
      <c r="Y8" s="62">
        <v>5</v>
      </c>
      <c r="Z8" s="62">
        <v>0</v>
      </c>
      <c r="AA8" s="62">
        <v>5</v>
      </c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 t="s">
        <v>61</v>
      </c>
      <c r="M9" s="53" t="s">
        <v>57</v>
      </c>
      <c r="N9" s="60"/>
      <c r="O9" s="50" t="s">
        <v>62</v>
      </c>
      <c r="P9" s="50">
        <v>4.5999999999999999E-3</v>
      </c>
      <c r="Q9" s="50" t="s">
        <v>59</v>
      </c>
      <c r="R9" s="50"/>
      <c r="S9" s="50" t="s">
        <v>63</v>
      </c>
      <c r="T9" s="50"/>
      <c r="U9" s="60">
        <v>7.291666666666667E-4</v>
      </c>
      <c r="V9" s="60">
        <v>6.3541666666666668E-3</v>
      </c>
      <c r="W9" s="60">
        <v>1.1805555555555555E-2</v>
      </c>
      <c r="X9" s="60">
        <v>1.8310185185185186E-2</v>
      </c>
      <c r="Y9" s="60">
        <v>2.3356481481481482E-2</v>
      </c>
      <c r="Z9" s="60">
        <v>3.0462962962962966E-2</v>
      </c>
      <c r="AA9" s="60">
        <v>3.6493055555555549E-2</v>
      </c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 t="s">
        <v>64</v>
      </c>
      <c r="M10" s="48">
        <v>1</v>
      </c>
      <c r="N10" s="63"/>
      <c r="O10" s="50" t="s">
        <v>65</v>
      </c>
      <c r="P10" s="50">
        <v>95.5</v>
      </c>
      <c r="Q10" s="50" t="s">
        <v>66</v>
      </c>
      <c r="R10" s="50"/>
      <c r="S10" s="50" t="s">
        <v>67</v>
      </c>
      <c r="T10" s="50"/>
      <c r="U10" s="62">
        <v>2.1527777777777778E-3</v>
      </c>
      <c r="V10" s="62">
        <v>6.8981481481481489E-3</v>
      </c>
      <c r="W10" s="62">
        <v>1.3402777777777777E-2</v>
      </c>
      <c r="X10" s="62">
        <v>1.8900462962962963E-2</v>
      </c>
      <c r="Y10" s="62">
        <v>2.4907407407407406E-2</v>
      </c>
      <c r="Z10" s="62">
        <v>3.1006944444444445E-2</v>
      </c>
      <c r="AA10" s="62">
        <v>3.8437499999999999E-2</v>
      </c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 t="s">
        <v>68</v>
      </c>
      <c r="M11" s="48">
        <v>1</v>
      </c>
      <c r="N11" s="63"/>
      <c r="O11" s="50" t="s">
        <v>69</v>
      </c>
      <c r="P11" s="50">
        <v>0.92</v>
      </c>
      <c r="Q11" s="50"/>
      <c r="R11" s="50"/>
      <c r="S11" s="50" t="s">
        <v>70</v>
      </c>
      <c r="T11" s="50"/>
      <c r="U11" s="62">
        <v>62</v>
      </c>
      <c r="V11" s="62">
        <v>24</v>
      </c>
      <c r="W11" s="62">
        <v>68</v>
      </c>
      <c r="X11" s="62">
        <v>25</v>
      </c>
      <c r="Y11" s="62">
        <v>67</v>
      </c>
      <c r="Z11" s="62">
        <v>23</v>
      </c>
      <c r="AA11" s="62">
        <v>84</v>
      </c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 t="s">
        <v>71</v>
      </c>
      <c r="M12" s="69">
        <v>1</v>
      </c>
      <c r="N12" s="50" t="s">
        <v>72</v>
      </c>
      <c r="O12" s="50" t="s">
        <v>1</v>
      </c>
      <c r="P12" s="50" t="s">
        <v>73</v>
      </c>
      <c r="Q12" s="50"/>
      <c r="R12" s="50"/>
      <c r="S12" s="49" t="s">
        <v>74</v>
      </c>
      <c r="T12" s="49" t="s">
        <v>54</v>
      </c>
      <c r="U12" s="70">
        <v>201.0172</v>
      </c>
      <c r="V12" s="70">
        <v>62.080300000000001</v>
      </c>
      <c r="W12" s="70">
        <v>0.1149</v>
      </c>
      <c r="X12" s="70">
        <v>84.410899999999998</v>
      </c>
      <c r="Y12" s="70">
        <v>5.8999999999999997E-2</v>
      </c>
      <c r="Z12" s="70">
        <v>93.057500000000005</v>
      </c>
      <c r="AA12" s="70">
        <v>5.7200000000000001E-2</v>
      </c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 t="s">
        <v>75</v>
      </c>
      <c r="M13" s="50">
        <v>2</v>
      </c>
      <c r="N13" s="50" t="s">
        <v>76</v>
      </c>
      <c r="O13" s="50" t="s">
        <v>77</v>
      </c>
      <c r="P13" s="50">
        <v>-2.6496</v>
      </c>
      <c r="Q13" s="50" t="s">
        <v>9</v>
      </c>
      <c r="R13" s="50" t="s">
        <v>78</v>
      </c>
      <c r="S13" s="49" t="s">
        <v>79</v>
      </c>
      <c r="T13" s="49" t="s">
        <v>9</v>
      </c>
      <c r="U13" s="71">
        <v>2.8622000000000001</v>
      </c>
      <c r="V13" s="71">
        <v>442.25549999999998</v>
      </c>
      <c r="W13" s="71">
        <v>0.1789</v>
      </c>
      <c r="X13" s="71">
        <v>559.56119999999999</v>
      </c>
      <c r="Y13" s="71">
        <v>0.1789</v>
      </c>
      <c r="Z13" s="71">
        <v>488.5428</v>
      </c>
      <c r="AA13" s="71">
        <v>8.9399999999999993E-2</v>
      </c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 t="s">
        <v>80</v>
      </c>
      <c r="M14" s="50">
        <v>2</v>
      </c>
      <c r="N14" s="50" t="s">
        <v>81</v>
      </c>
      <c r="O14" s="50" t="s">
        <v>82</v>
      </c>
      <c r="P14" s="50">
        <v>2.7699999999999999E-2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>
        <f>IF(ISNUMBER(V13),V13-($P$14*V12+$P$13),"")</f>
        <v>443.18547568999998</v>
      </c>
      <c r="W17" s="13">
        <f t="shared" ref="W17:AA17" si="0">IF(ISNUMBER(W13),W13-($P$14*W12+$P$13),"")</f>
        <v>2.8253172700000002</v>
      </c>
      <c r="X17" s="13">
        <f t="shared" si="0"/>
        <v>559.87261806999993</v>
      </c>
      <c r="Y17" s="13">
        <f t="shared" si="0"/>
        <v>2.8268656999999999</v>
      </c>
      <c r="Z17" s="13">
        <f t="shared" si="0"/>
        <v>488.61470724999998</v>
      </c>
      <c r="AA17" s="13">
        <f t="shared" si="0"/>
        <v>2.7374155600000001</v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>
        <f>V17-$AA$17</f>
        <v>440.44806012999999</v>
      </c>
      <c r="W18" s="13">
        <f t="shared" ref="W18:AA18" si="1">W17-$AA$17</f>
        <v>8.7901710000000133E-2</v>
      </c>
      <c r="X18" s="13">
        <f t="shared" si="1"/>
        <v>557.13520250999989</v>
      </c>
      <c r="Y18" s="13">
        <f t="shared" si="1"/>
        <v>8.9450139999999845E-2</v>
      </c>
      <c r="Z18" s="13">
        <f t="shared" si="1"/>
        <v>485.87729168999999</v>
      </c>
      <c r="AA18" s="13">
        <f t="shared" si="1"/>
        <v>0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>
        <f>V21/$X$21</f>
        <v>0.78960373794437433</v>
      </c>
      <c r="W19" s="82">
        <f t="shared" ref="W19:AA19" si="2">W21/$X$21</f>
        <v>5.0463572941635724E-3</v>
      </c>
      <c r="X19" s="82">
        <f t="shared" si="2"/>
        <v>1</v>
      </c>
      <c r="Y19" s="82">
        <f t="shared" si="2"/>
        <v>5.0617774203895408E-3</v>
      </c>
      <c r="Z19" s="82">
        <f t="shared" si="2"/>
        <v>0.87491205982240161</v>
      </c>
      <c r="AA19" s="82">
        <f t="shared" si="2"/>
        <v>4.9138929948928317E-3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137</v>
      </c>
      <c r="N20" s="81"/>
      <c r="O20" s="81"/>
      <c r="P20" s="81"/>
      <c r="Q20" s="81"/>
      <c r="R20" s="81"/>
      <c r="S20" s="81"/>
      <c r="T20" s="81"/>
      <c r="U20" s="81"/>
      <c r="V20" s="82">
        <f>V22/$X$22</f>
        <v>0.78856476783818075</v>
      </c>
      <c r="W20" s="82">
        <f t="shared" ref="W20:AA20" si="3">W22/$X$22</f>
        <v>1.3311842898642803E-4</v>
      </c>
      <c r="X20" s="82">
        <f t="shared" si="3"/>
        <v>1</v>
      </c>
      <c r="Y20" s="82">
        <f t="shared" si="3"/>
        <v>1.4861470224098862E-4</v>
      </c>
      <c r="Z20" s="82">
        <f t="shared" si="3"/>
        <v>0.87429435573764225</v>
      </c>
      <c r="AA20" s="82">
        <f t="shared" si="3"/>
        <v>0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>
        <f t="shared" ref="V21:AA21" si="4">IF(ISNUMBER(V17),IF(VolumeC=TRUE,IF(UnknownSample=FALSE,V17/V23,V17/V23/$M$12),IF(UnknownSample=FALSE,V17,V17/$M$12)),"")</f>
        <v>444.29621623057642</v>
      </c>
      <c r="W21" s="89">
        <f t="shared" si="4"/>
        <v>2.839497008184622</v>
      </c>
      <c r="X21" s="89">
        <f t="shared" si="4"/>
        <v>562.68251387365649</v>
      </c>
      <c r="Y21" s="89">
        <f t="shared" si="4"/>
        <v>2.8481736435736988</v>
      </c>
      <c r="Z21" s="89">
        <f t="shared" si="4"/>
        <v>492.2977172392479</v>
      </c>
      <c r="AA21" s="89">
        <f t="shared" si="4"/>
        <v>2.7649616632724494</v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>
        <f>V21-$AA$21</f>
        <v>441.53125456730396</v>
      </c>
      <c r="W22" s="89">
        <f t="shared" ref="W22:AA22" si="5">W21-$AA$21</f>
        <v>7.4535344912172619E-2</v>
      </c>
      <c r="X22" s="89">
        <f t="shared" si="5"/>
        <v>559.91755221038409</v>
      </c>
      <c r="Y22" s="89">
        <f t="shared" si="5"/>
        <v>8.3211980301249433E-2</v>
      </c>
      <c r="Z22" s="89">
        <f t="shared" si="5"/>
        <v>489.53275557597544</v>
      </c>
      <c r="AA22" s="89">
        <f t="shared" si="5"/>
        <v>0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0.99750000000000005</v>
      </c>
      <c r="W23" s="13">
        <f>IF(ISNUMBER(W8),V23-(V23*W8/1000)/$M$14,V23)</f>
        <v>0.99500625000000009</v>
      </c>
      <c r="X23" s="13">
        <f t="shared" ref="X23:AA23" si="6">IF(ISNUMBER(X8),W23-(W23*X8/1000)/$M$14,W23)</f>
        <v>0.99500625000000009</v>
      </c>
      <c r="Y23" s="13">
        <f t="shared" si="6"/>
        <v>0.99251873437500004</v>
      </c>
      <c r="Z23" s="13">
        <f t="shared" si="6"/>
        <v>0.99251873437500004</v>
      </c>
      <c r="AA23" s="13">
        <f t="shared" si="6"/>
        <v>0.99003743753906259</v>
      </c>
      <c r="AB23" s="14"/>
      <c r="AC23" s="4"/>
      <c r="AD23" s="19"/>
      <c r="AE23" s="90"/>
      <c r="AV23" s="41"/>
      <c r="BA23" s="51"/>
    </row>
    <row r="24" spans="1:53" s="32" customFormat="1" ht="15" x14ac:dyDescent="0.2">
      <c r="A24" s="168"/>
      <c r="B24" s="169"/>
      <c r="C24" s="56"/>
      <c r="D24" s="56"/>
      <c r="E24" s="56"/>
      <c r="F24" s="56"/>
      <c r="G24" s="56"/>
      <c r="L24" s="6"/>
      <c r="M24" s="6" t="s">
        <v>114</v>
      </c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>
        <f t="shared" ref="V29:AA29" si="7">V58</f>
        <v>0.32446412989060153</v>
      </c>
      <c r="W29" s="149">
        <f t="shared" si="7"/>
        <v>1.6469571299032013E-2</v>
      </c>
      <c r="X29" s="148">
        <f t="shared" si="7"/>
        <v>0.2792787429058679</v>
      </c>
      <c r="Y29" s="149">
        <f t="shared" si="7"/>
        <v>-4.7541410180097993E-3</v>
      </c>
      <c r="Z29" s="148">
        <f t="shared" si="7"/>
        <v>0.30674198000572195</v>
      </c>
      <c r="AA29" s="149">
        <f t="shared" si="7"/>
        <v>-1.0827220510422777E-2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>
        <f t="shared" ref="V30" si="8">V62</f>
        <v>0.32527732319859798</v>
      </c>
      <c r="W30" s="149">
        <f>W62</f>
        <v>1.6552228992563627E-2</v>
      </c>
      <c r="X30" s="148">
        <f>X62</f>
        <v>0.28068039060645888</v>
      </c>
      <c r="Y30" s="149">
        <f t="shared" ref="Y30:AA30" si="9">Y62</f>
        <v>-4.7899761015629937E-3</v>
      </c>
      <c r="Z30" s="148">
        <f t="shared" si="9"/>
        <v>0.30905409578881221</v>
      </c>
      <c r="AA30" s="149">
        <f t="shared" si="9"/>
        <v>-1.093617281517759E-2</v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>
        <f>V30/V21</f>
        <v>7.3211814846919335E-4</v>
      </c>
      <c r="W32" s="151">
        <f t="shared" ref="W32:AA32" si="10">W30/W21</f>
        <v>5.82928206821601E-3</v>
      </c>
      <c r="X32" s="150">
        <f t="shared" si="10"/>
        <v>4.9882550761028664E-4</v>
      </c>
      <c r="Y32" s="151">
        <f t="shared" si="10"/>
        <v>-1.6817710929846435E-3</v>
      </c>
      <c r="Z32" s="150">
        <f t="shared" si="10"/>
        <v>6.2777885203684066E-4</v>
      </c>
      <c r="AA32" s="151">
        <f t="shared" si="10"/>
        <v>-3.9552710478575554E-3</v>
      </c>
      <c r="AB32" s="97"/>
      <c r="AC32" s="19"/>
      <c r="AD32" s="19"/>
      <c r="AI32" s="61"/>
      <c r="AM32" s="61"/>
      <c r="AV32" s="41"/>
      <c r="BA32" s="51"/>
    </row>
    <row r="33" spans="1:53" s="32" customFormat="1" ht="15" x14ac:dyDescent="0.2">
      <c r="A33" s="168"/>
      <c r="B33" s="169"/>
      <c r="C33" s="56"/>
      <c r="D33" s="56"/>
      <c r="E33" s="56"/>
      <c r="F33" s="56"/>
      <c r="G33" s="56"/>
      <c r="M33" s="6" t="s">
        <v>116</v>
      </c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>
        <v>1.9870000000000001</v>
      </c>
      <c r="V37" s="46">
        <v>1.1135999999999999</v>
      </c>
      <c r="W37" s="46">
        <v>1.0098</v>
      </c>
      <c r="X37" s="46">
        <v>1.0098</v>
      </c>
      <c r="Y37" s="46">
        <v>0.97909999999999997</v>
      </c>
      <c r="Z37" s="46">
        <v>0.97909999999999997</v>
      </c>
      <c r="AA37" s="46">
        <v>0.93740000000000001</v>
      </c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 t="s">
        <v>29</v>
      </c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 t="s">
        <v>30</v>
      </c>
      <c r="M42" s="48" t="s">
        <v>31</v>
      </c>
      <c r="N42" s="49" t="s">
        <v>32</v>
      </c>
      <c r="O42" s="50"/>
      <c r="P42" s="50"/>
      <c r="Q42" s="50"/>
      <c r="R42" s="50" t="s">
        <v>35</v>
      </c>
      <c r="S42" s="50" t="s">
        <v>36</v>
      </c>
      <c r="T42" s="50" t="s">
        <v>37</v>
      </c>
      <c r="U42" s="50" t="s">
        <v>84</v>
      </c>
      <c r="V42" s="50" t="s">
        <v>38</v>
      </c>
      <c r="W42" s="50" t="s">
        <v>39</v>
      </c>
      <c r="X42" s="50" t="s">
        <v>40</v>
      </c>
      <c r="Y42" s="50" t="s">
        <v>41</v>
      </c>
      <c r="Z42" s="50" t="s">
        <v>42</v>
      </c>
      <c r="AA42" s="50" t="s">
        <v>43</v>
      </c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 t="s">
        <v>44</v>
      </c>
      <c r="M43" s="53" t="s">
        <v>18</v>
      </c>
      <c r="N43" s="50"/>
      <c r="O43" s="50"/>
      <c r="P43" s="50"/>
      <c r="Q43" s="50"/>
      <c r="R43" s="50"/>
      <c r="S43" s="50" t="s">
        <v>47</v>
      </c>
      <c r="T43" s="50"/>
      <c r="U43" s="54" t="s">
        <v>85</v>
      </c>
      <c r="V43" s="54" t="s">
        <v>49</v>
      </c>
      <c r="W43" s="54" t="s">
        <v>50</v>
      </c>
      <c r="X43" s="54" t="s">
        <v>49</v>
      </c>
      <c r="Y43" s="54" t="s">
        <v>50</v>
      </c>
      <c r="Z43" s="54" t="s">
        <v>49</v>
      </c>
      <c r="AA43" s="54" t="s">
        <v>50</v>
      </c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 t="s">
        <v>51</v>
      </c>
      <c r="M44" s="53" t="s">
        <v>52</v>
      </c>
      <c r="N44" s="50"/>
      <c r="O44" s="50"/>
      <c r="P44" s="50"/>
      <c r="Q44" s="50"/>
      <c r="R44" s="50"/>
      <c r="S44" s="50" t="s">
        <v>55</v>
      </c>
      <c r="T44" s="50"/>
      <c r="U44" s="60">
        <v>0</v>
      </c>
      <c r="V44" s="60">
        <v>0.1</v>
      </c>
      <c r="W44" s="60">
        <v>0.1</v>
      </c>
      <c r="X44" s="60">
        <v>0</v>
      </c>
      <c r="Y44" s="60">
        <v>0.1</v>
      </c>
      <c r="Z44" s="60">
        <v>0</v>
      </c>
      <c r="AA44" s="60">
        <v>0.1</v>
      </c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 t="s">
        <v>56</v>
      </c>
      <c r="M45" s="53" t="s">
        <v>57</v>
      </c>
      <c r="N45" s="60"/>
      <c r="O45" s="50"/>
      <c r="P45" s="50"/>
      <c r="Q45" s="50"/>
      <c r="R45" s="50"/>
      <c r="S45" s="50" t="s">
        <v>60</v>
      </c>
      <c r="T45" s="50"/>
      <c r="U45" s="60">
        <v>0</v>
      </c>
      <c r="V45" s="60">
        <v>5</v>
      </c>
      <c r="W45" s="60">
        <v>5</v>
      </c>
      <c r="X45" s="60">
        <v>0</v>
      </c>
      <c r="Y45" s="60">
        <v>5</v>
      </c>
      <c r="Z45" s="60">
        <v>0</v>
      </c>
      <c r="AA45" s="60">
        <v>5</v>
      </c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 t="s">
        <v>61</v>
      </c>
      <c r="M46" s="53" t="s">
        <v>57</v>
      </c>
      <c r="N46" s="60"/>
      <c r="O46" s="50"/>
      <c r="P46" s="50"/>
      <c r="Q46" s="50"/>
      <c r="R46" s="50"/>
      <c r="S46" s="50" t="s">
        <v>63</v>
      </c>
      <c r="T46" s="50"/>
      <c r="U46" s="60">
        <v>1.0185185185185186E-3</v>
      </c>
      <c r="V46" s="60">
        <v>5.9375000000000009E-3</v>
      </c>
      <c r="W46" s="60">
        <v>1.34375E-2</v>
      </c>
      <c r="X46" s="60">
        <v>1.8842592592592591E-2</v>
      </c>
      <c r="Y46" s="60">
        <v>2.3946759259259261E-2</v>
      </c>
      <c r="Z46" s="60">
        <v>3.0995370370370371E-2</v>
      </c>
      <c r="AA46" s="60">
        <v>3.8009259259259263E-2</v>
      </c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 t="s">
        <v>64</v>
      </c>
      <c r="M47" s="104">
        <v>1</v>
      </c>
      <c r="N47" s="105"/>
      <c r="O47" s="50"/>
      <c r="P47" s="50"/>
      <c r="Q47" s="50"/>
      <c r="R47" s="50"/>
      <c r="S47" s="50" t="s">
        <v>67</v>
      </c>
      <c r="T47" s="50"/>
      <c r="U47" s="106">
        <v>2.5231481481481481E-3</v>
      </c>
      <c r="V47" s="106">
        <v>6.7245370370370367E-3</v>
      </c>
      <c r="W47" s="106">
        <v>1.4513888888888889E-2</v>
      </c>
      <c r="X47" s="106">
        <v>1.9490740740740743E-2</v>
      </c>
      <c r="Y47" s="106">
        <v>2.4826388888888887E-2</v>
      </c>
      <c r="Z47" s="106">
        <v>3.1481481481481485E-2</v>
      </c>
      <c r="AA47" s="106">
        <v>3.9375E-2</v>
      </c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 t="s">
        <v>68</v>
      </c>
      <c r="M48" s="104">
        <v>1</v>
      </c>
      <c r="N48" s="105"/>
      <c r="O48" s="50"/>
      <c r="P48" s="50"/>
      <c r="Q48" s="50"/>
      <c r="R48" s="50"/>
      <c r="S48" s="50" t="s">
        <v>70</v>
      </c>
      <c r="T48" s="50"/>
      <c r="U48" s="106">
        <v>66</v>
      </c>
      <c r="V48" s="106">
        <v>34</v>
      </c>
      <c r="W48" s="106">
        <v>47</v>
      </c>
      <c r="X48" s="106">
        <v>29</v>
      </c>
      <c r="Y48" s="106">
        <v>38</v>
      </c>
      <c r="Z48" s="106">
        <v>20</v>
      </c>
      <c r="AA48" s="106">
        <v>58</v>
      </c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 t="s">
        <v>71</v>
      </c>
      <c r="M49" s="50">
        <v>1</v>
      </c>
      <c r="N49" s="50" t="s">
        <v>72</v>
      </c>
      <c r="O49" s="50" t="s">
        <v>1</v>
      </c>
      <c r="P49" s="50" t="s">
        <v>73</v>
      </c>
      <c r="Q49" s="50"/>
      <c r="R49" s="50"/>
      <c r="S49" s="49" t="s">
        <v>86</v>
      </c>
      <c r="T49" s="49" t="s">
        <v>59</v>
      </c>
      <c r="U49" s="108">
        <v>0.8196</v>
      </c>
      <c r="V49" s="108">
        <v>0.85440000000000005</v>
      </c>
      <c r="W49" s="108">
        <v>1.0319</v>
      </c>
      <c r="X49" s="108">
        <v>1.1961999999999999</v>
      </c>
      <c r="Y49" s="108">
        <v>1.3313999999999999</v>
      </c>
      <c r="Z49" s="108">
        <v>1.5382</v>
      </c>
      <c r="AA49" s="108">
        <v>1.6954</v>
      </c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 t="s">
        <v>75</v>
      </c>
      <c r="M50" s="50">
        <v>2</v>
      </c>
      <c r="N50" s="50" t="s">
        <v>76</v>
      </c>
      <c r="O50" s="50"/>
      <c r="P50" s="50"/>
      <c r="Q50" s="50"/>
      <c r="R50" s="50" t="s">
        <v>78</v>
      </c>
      <c r="S50" s="49" t="s">
        <v>87</v>
      </c>
      <c r="T50" s="49" t="s">
        <v>10</v>
      </c>
      <c r="U50" s="108">
        <v>0.11650000000000001</v>
      </c>
      <c r="V50" s="108">
        <v>0.41649999999999998</v>
      </c>
      <c r="W50" s="108">
        <v>6.0999999999999999E-2</v>
      </c>
      <c r="X50" s="108">
        <v>0.33500000000000002</v>
      </c>
      <c r="Y50" s="108">
        <v>3.5999999999999997E-2</v>
      </c>
      <c r="Z50" s="108">
        <v>0.34899999999999998</v>
      </c>
      <c r="AA50" s="108">
        <v>2.5999999999999999E-2</v>
      </c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 t="s">
        <v>80</v>
      </c>
      <c r="M51" s="104">
        <v>2</v>
      </c>
      <c r="N51" s="105" t="s">
        <v>81</v>
      </c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7.5171919999999989E-2</v>
      </c>
      <c r="V53" s="110">
        <f t="shared" ref="V53:AA53" si="11">$W$66*V49+$X$66</f>
        <v>7.4482880000000001E-2</v>
      </c>
      <c r="W53" s="110">
        <f t="shared" si="11"/>
        <v>7.0968379999999998E-2</v>
      </c>
      <c r="X53" s="110">
        <f t="shared" si="11"/>
        <v>6.7715239999999996E-2</v>
      </c>
      <c r="Y53" s="110">
        <f t="shared" si="11"/>
        <v>6.503827999999999E-2</v>
      </c>
      <c r="Z53" s="110">
        <f t="shared" si="11"/>
        <v>6.0943639999999993E-2</v>
      </c>
      <c r="AA53" s="110">
        <f t="shared" si="11"/>
        <v>5.7831079999999993E-2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0.74079768335792207</v>
      </c>
      <c r="W54" s="111">
        <f t="shared" si="12"/>
        <v>0.62519430346638138</v>
      </c>
      <c r="X54" s="111">
        <f t="shared" si="12"/>
        <v>0.78245791366396444</v>
      </c>
      <c r="Y54" s="111">
        <f t="shared" si="12"/>
        <v>0.62509001576815071</v>
      </c>
      <c r="Z54" s="111">
        <f t="shared" si="12"/>
        <v>0.79858911243892916</v>
      </c>
      <c r="AA54" s="111">
        <f t="shared" si="12"/>
        <v>0.62508665766695548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7.5171919999999989E-2</v>
      </c>
      <c r="V56" s="111">
        <f t="shared" ref="V56:AA56" si="13">V54*V53</f>
        <v>5.5176744953826108E-2</v>
      </c>
      <c r="W56" s="111">
        <f t="shared" si="13"/>
        <v>4.4369026902237471E-2</v>
      </c>
      <c r="X56" s="111">
        <f t="shared" si="13"/>
        <v>5.298432541365463E-2</v>
      </c>
      <c r="Y56" s="111">
        <f t="shared" si="13"/>
        <v>4.0654779470733392E-2</v>
      </c>
      <c r="Z56" s="111">
        <f t="shared" si="13"/>
        <v>4.8668927376397615E-2</v>
      </c>
      <c r="AA56" s="111">
        <f t="shared" si="13"/>
        <v>3.614943650647031E-2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4.1328080000000017E-2</v>
      </c>
      <c r="V57" s="111">
        <f t="shared" ref="V57:AA57" si="14">V50-V56</f>
        <v>0.36132325504617385</v>
      </c>
      <c r="W57" s="111">
        <f t="shared" si="14"/>
        <v>1.6630973097762528E-2</v>
      </c>
      <c r="X57" s="111">
        <f t="shared" si="14"/>
        <v>0.28201567458634541</v>
      </c>
      <c r="Y57" s="111">
        <f t="shared" si="14"/>
        <v>-4.6547794707333945E-3</v>
      </c>
      <c r="Z57" s="111">
        <f t="shared" si="14"/>
        <v>0.30033107262360237</v>
      </c>
      <c r="AA57" s="111">
        <f t="shared" si="14"/>
        <v>-1.0149436506470311E-2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>
        <f t="shared" ref="U58:AA58" si="15">U57/U37</f>
        <v>2.0799235027679927E-2</v>
      </c>
      <c r="V58" s="97">
        <f t="shared" si="15"/>
        <v>0.32446412989060153</v>
      </c>
      <c r="W58" s="97">
        <f t="shared" si="15"/>
        <v>1.6469571299032013E-2</v>
      </c>
      <c r="X58" s="97">
        <f t="shared" si="15"/>
        <v>0.2792787429058679</v>
      </c>
      <c r="Y58" s="97">
        <f t="shared" si="15"/>
        <v>-4.7541410180097993E-3</v>
      </c>
      <c r="Z58" s="97">
        <f t="shared" si="15"/>
        <v>0.30674198000572195</v>
      </c>
      <c r="AA58" s="97">
        <f t="shared" si="15"/>
        <v>-1.0827220510422777E-2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>
        <f t="shared" ref="V62:AA62" si="16">IF(ISNUMBER(V58),IF(VolumeCorr=TRUE,IF(UnknownSampleCheck=FALSE,V58/V23,V58/V23/$M$12),IF(UnknownSampleCheck=FALSE,V58,V58/$M$12)),"")</f>
        <v>0.32527732319859798</v>
      </c>
      <c r="W62" s="116">
        <f t="shared" si="16"/>
        <v>1.6552228992563627E-2</v>
      </c>
      <c r="X62" s="116">
        <f t="shared" si="16"/>
        <v>0.28068039060645888</v>
      </c>
      <c r="Y62" s="116">
        <f t="shared" si="16"/>
        <v>-4.7899761015629937E-3</v>
      </c>
      <c r="Z62" s="116">
        <f t="shared" si="16"/>
        <v>0.30905409578881221</v>
      </c>
      <c r="AA62" s="116">
        <f t="shared" si="16"/>
        <v>-1.093617281517759E-2</v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132</v>
      </c>
      <c r="N66" s="213" t="s">
        <v>133</v>
      </c>
      <c r="O66" s="213"/>
      <c r="U66" s="175"/>
      <c r="V66" s="175"/>
      <c r="W66" s="207">
        <v>-1.9800000000000002E-2</v>
      </c>
      <c r="X66" s="207">
        <v>9.1399999999999995E-2</v>
      </c>
      <c r="Y66" s="154" t="s">
        <v>96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50EA-E737-4BB0-AB02-C695F3501DEF}">
  <dimension ref="A1:BH129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42578125" style="2" customWidth="1"/>
    <col min="15" max="15" width="16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8.570312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6" t="s">
        <v>8</v>
      </c>
      <c r="V3" s="153" t="s">
        <v>12</v>
      </c>
      <c r="W3" s="17" t="s">
        <v>15</v>
      </c>
      <c r="X3" s="153" t="s">
        <v>13</v>
      </c>
      <c r="Y3" s="17" t="s">
        <v>16</v>
      </c>
      <c r="Z3" s="153" t="s">
        <v>14</v>
      </c>
      <c r="AA3" s="17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6" t="s">
        <v>8</v>
      </c>
      <c r="V16" s="153" t="s">
        <v>12</v>
      </c>
      <c r="W16" s="17" t="s">
        <v>15</v>
      </c>
      <c r="X16" s="153" t="s">
        <v>13</v>
      </c>
      <c r="Y16" s="17" t="s">
        <v>16</v>
      </c>
      <c r="Z16" s="153" t="s">
        <v>14</v>
      </c>
      <c r="AA16" s="1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138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IF(ISNUMBER(V17),IF(Volume=TRUE,IF(Unknown=FALSE,V17/V23,V17/V23/$M$12),IF(Unknown=FALSE,V17,V17/$M$12)),"")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6" t="s">
        <v>8</v>
      </c>
      <c r="V26" s="153" t="s">
        <v>12</v>
      </c>
      <c r="W26" s="17" t="s">
        <v>15</v>
      </c>
      <c r="X26" s="153" t="s">
        <v>13</v>
      </c>
      <c r="Y26" s="17" t="s">
        <v>16</v>
      </c>
      <c r="Z26" s="153" t="s">
        <v>14</v>
      </c>
      <c r="AA26" s="1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8.6800000000000002E-2</v>
      </c>
      <c r="V53" s="110">
        <f t="shared" ref="V53:AA53" si="11">$W$66*V49+$X$66</f>
        <v>8.6800000000000002E-2</v>
      </c>
      <c r="W53" s="110">
        <f t="shared" si="11"/>
        <v>8.6800000000000002E-2</v>
      </c>
      <c r="X53" s="110">
        <f t="shared" si="11"/>
        <v>8.6800000000000002E-2</v>
      </c>
      <c r="Y53" s="110">
        <f t="shared" si="11"/>
        <v>8.6800000000000002E-2</v>
      </c>
      <c r="Z53" s="110">
        <f t="shared" si="11"/>
        <v>8.6800000000000002E-2</v>
      </c>
      <c r="AA53" s="110">
        <f t="shared" si="11"/>
        <v>8.6800000000000002E-2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8.6800000000000002E-2</v>
      </c>
      <c r="V56" s="111">
        <f t="shared" ref="V56:AA56" si="13">V54*V53</f>
        <v>8.6800000000000002E-2</v>
      </c>
      <c r="W56" s="111">
        <f t="shared" si="13"/>
        <v>8.6800000000000002E-2</v>
      </c>
      <c r="X56" s="111">
        <f t="shared" si="13"/>
        <v>8.6800000000000002E-2</v>
      </c>
      <c r="Y56" s="111">
        <f t="shared" si="13"/>
        <v>8.6800000000000002E-2</v>
      </c>
      <c r="Z56" s="111">
        <f t="shared" si="13"/>
        <v>8.6800000000000002E-2</v>
      </c>
      <c r="AA56" s="111">
        <f t="shared" si="13"/>
        <v>8.6800000000000002E-2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-8.6800000000000002E-2</v>
      </c>
      <c r="V57" s="111">
        <f t="shared" ref="V57:AA57" si="14">V50-V56</f>
        <v>-8.6800000000000002E-2</v>
      </c>
      <c r="W57" s="111">
        <f t="shared" si="14"/>
        <v>-8.6800000000000002E-2</v>
      </c>
      <c r="X57" s="111">
        <f t="shared" si="14"/>
        <v>-8.6800000000000002E-2</v>
      </c>
      <c r="Y57" s="111">
        <f t="shared" si="14"/>
        <v>-8.6800000000000002E-2</v>
      </c>
      <c r="Z57" s="111">
        <f t="shared" si="14"/>
        <v>-8.6800000000000002E-2</v>
      </c>
      <c r="AA57" s="111">
        <f t="shared" si="14"/>
        <v>-8.6800000000000002E-2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6" t="s">
        <v>8</v>
      </c>
      <c r="V61" s="153" t="s">
        <v>12</v>
      </c>
      <c r="W61" s="17" t="s">
        <v>15</v>
      </c>
      <c r="X61" s="153" t="s">
        <v>13</v>
      </c>
      <c r="Y61" s="17" t="s">
        <v>16</v>
      </c>
      <c r="Z61" s="153" t="s">
        <v>14</v>
      </c>
      <c r="AA61" s="17" t="s">
        <v>17</v>
      </c>
      <c r="AB61" s="47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8"/>
      <c r="Z65" s="178"/>
      <c r="AA65" s="178"/>
      <c r="AB65" s="178"/>
      <c r="AC65" s="6"/>
      <c r="AD65" s="6"/>
      <c r="AE65" s="6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134</v>
      </c>
      <c r="N66" s="213" t="s">
        <v>135</v>
      </c>
      <c r="O66" s="213"/>
      <c r="U66" s="175"/>
      <c r="V66" s="175"/>
      <c r="W66" s="207">
        <v>-1.66E-2</v>
      </c>
      <c r="X66" s="207">
        <v>8.6800000000000002E-2</v>
      </c>
      <c r="Y66" s="154" t="s">
        <v>101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2520-D422-4504-A60B-3EFF6CB16CF9}">
  <dimension ref="A1:BH129"/>
  <sheetViews>
    <sheetView showGridLines="0" tabSelected="1" workbookViewId="0"/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8" t="s">
        <v>12</v>
      </c>
      <c r="W3" s="159" t="s">
        <v>15</v>
      </c>
      <c r="X3" s="158" t="s">
        <v>13</v>
      </c>
      <c r="Y3" s="159" t="s">
        <v>16</v>
      </c>
      <c r="Z3" s="158" t="s">
        <v>14</v>
      </c>
      <c r="AA3" s="159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138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IF(ISNUMBER(V17),IF(Titrvol20=TRUE,IF(UnknownS20=FALSE,V17/V23,V17/V23/$M$12),IF(UnknownS20=FALSE,V17,V17/$M$12)),"")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>V58</f>
        <v>#DIV/0!</v>
      </c>
      <c r="W29" s="149" t="e">
        <f t="shared" ref="W29:AA29" si="7">W58</f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0.12479999999999999</v>
      </c>
      <c r="V53" s="110">
        <f t="shared" ref="V53:AA53" si="11">$W$66*V49+$X$66</f>
        <v>0.12479999999999999</v>
      </c>
      <c r="W53" s="110">
        <f t="shared" si="11"/>
        <v>0.12479999999999999</v>
      </c>
      <c r="X53" s="110">
        <f t="shared" si="11"/>
        <v>0.12479999999999999</v>
      </c>
      <c r="Y53" s="110">
        <f t="shared" si="11"/>
        <v>0.12479999999999999</v>
      </c>
      <c r="Z53" s="110">
        <f t="shared" si="11"/>
        <v>0.12479999999999999</v>
      </c>
      <c r="AA53" s="110">
        <f t="shared" si="11"/>
        <v>0.12479999999999999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>(($W67*U12+$X67)/($W67*$U12+$X67))</f>
        <v>1</v>
      </c>
      <c r="V54" s="111">
        <f t="shared" ref="V54:AA54" si="12">(($W67*V12+$X67)/($W67*$U12+$X67))</f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0.12479999999999999</v>
      </c>
      <c r="V56" s="111">
        <f t="shared" ref="V56:AA56" si="13">V54*V53</f>
        <v>0.12479999999999999</v>
      </c>
      <c r="W56" s="111">
        <f t="shared" si="13"/>
        <v>0.12479999999999999</v>
      </c>
      <c r="X56" s="111">
        <f t="shared" si="13"/>
        <v>0.12479999999999999</v>
      </c>
      <c r="Y56" s="111">
        <f t="shared" si="13"/>
        <v>0.12479999999999999</v>
      </c>
      <c r="Z56" s="111">
        <f t="shared" si="13"/>
        <v>0.12479999999999999</v>
      </c>
      <c r="AA56" s="111">
        <f t="shared" si="13"/>
        <v>0.12479999999999999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-0.12479999999999999</v>
      </c>
      <c r="V57" s="111">
        <f t="shared" ref="V57:AA57" si="14">V50-V56</f>
        <v>-0.12479999999999999</v>
      </c>
      <c r="W57" s="111">
        <f t="shared" si="14"/>
        <v>-0.12479999999999999</v>
      </c>
      <c r="X57" s="111">
        <f t="shared" si="14"/>
        <v>-0.12479999999999999</v>
      </c>
      <c r="Y57" s="111">
        <f t="shared" si="14"/>
        <v>-0.12479999999999999</v>
      </c>
      <c r="Z57" s="111">
        <f t="shared" si="14"/>
        <v>-0.12479999999999999</v>
      </c>
      <c r="AA57" s="111">
        <f t="shared" si="14"/>
        <v>-0.12479999999999999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6">IF(ISNUMBER(V58),IF(Titrvol20=TRUE,IF(UnknownS20=FALSE,V58/V23,V58/V23/$M$12),IF(UnknownS20=FALSE,V58,V58/$M$12)),"")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136</v>
      </c>
      <c r="N66" s="213" t="s">
        <v>139</v>
      </c>
      <c r="O66" s="213"/>
      <c r="P66" s="160"/>
      <c r="Q66" s="160"/>
      <c r="R66" s="160"/>
      <c r="S66" s="160"/>
      <c r="T66" s="160"/>
      <c r="U66" s="179"/>
      <c r="V66" s="179"/>
      <c r="W66" s="210">
        <v>-3.4799999999999998E-2</v>
      </c>
      <c r="X66" s="210">
        <v>0.12479999999999999</v>
      </c>
      <c r="Y66" s="154" t="s">
        <v>96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P67" s="160"/>
      <c r="Q67" s="160"/>
      <c r="R67" s="160"/>
      <c r="S67" s="160"/>
      <c r="T67" s="160"/>
      <c r="U67" s="179"/>
      <c r="V67" s="179"/>
      <c r="W67" s="180">
        <v>2.0000000000000001E-4</v>
      </c>
      <c r="X67" s="180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Luiza Cardoso</cp:lastModifiedBy>
  <cp:lastPrinted>2016-07-26T07:02:00Z</cp:lastPrinted>
  <dcterms:created xsi:type="dcterms:W3CDTF">2004-10-29T04:30:37Z</dcterms:created>
  <dcterms:modified xsi:type="dcterms:W3CDTF">2022-07-20T15:43:03Z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